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<sst xmlns="http://schemas.openxmlformats.org/spreadsheetml/2006/main" count="502" uniqueCount="150">
  <si>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</si>
  <si>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</si>
  <si>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</si>
  <si>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</si>
  <si>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</si>
  <si>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</si>
  <si>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</si>
  <si>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</si>
  <si>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</si>
  <si>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</si>
  <si>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</si>
  <si>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</si>
  <si>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</si>
  <si>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</si>
  <si>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</si>
  <si>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</si>
  <si>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</si>
  <si>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</si>
  <si>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</si>
  <si>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</si>
  <si>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</si>
  <si>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</si>
  <si>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</si>
  <si>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</si>
  <si>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</si>
  <si>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</si>
  <si>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</si>
  <si>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</si>
  <si>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</si>
  <si>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</si>
  <si>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</si>
  <si>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</si>
  <si>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</si>
  <si>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</si>
  <si>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</si>
  <si>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</si>
  <si>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</si>
  <si>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</si>
  <si>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</si>
  <si>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</si>
  <si>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</si>
  <si>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</si>
  <si>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</si>
  <si>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</si>
  <si>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</si>
  <si>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</si>
  <si>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</si>
  <si>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</si>
  <si>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</si>
  <si>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</si>
  <si>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</si>
  <si>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</si>
  <si>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</si>
  <si>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</si>
  <si>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</si>
  <si>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</si>
  <si>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</si>
  <si>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</si>
  <si>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</si>
  <si>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</si>
  <si>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</si>
  <si>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</si>
  <si>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</si>
  <si>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</si>
  <si>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</si>
  <si>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</si>
  <si>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</si>
  <si>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</si>
  <si>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</si>
  <si>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</si>
  <si>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</si>
  <si>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</si>
  <si>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</si>
  <si>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</si>
  <si>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</si>
  <si>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</si>
  <si>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</si>
  <si>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</si>
  <si>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</si>
  <si>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</si>
  <si>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</si>
  <si>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</si>
  <si>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</si>
  <si>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</si>
  <si>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</si>
  <si>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</si>
  <si>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</si>
  <si>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</si>
  <si>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</si>
  <si>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</si>
  <si>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</si>
  <si>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</si>
  <si>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</si>
  <si>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</si>
  <si>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</si>
  <si>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</si>
  <si>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</si>
  <si>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</si>
  <si>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</si>
  <si>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</si>
  <si>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</si>
  <si>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</si>
  <si>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</si>
  <si>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</si>
  <si>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</si>
  <si>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</si>
  <si>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</si>
  <si>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</si>
  <si>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</si>
  <si>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</si>
  <si>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</si>
  <si>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</si>
  <si>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</si>
  <si>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</si>
  <si>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</si>
  <si>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</si>
  <si>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</si>
  <si>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</si>
  <si>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</si>
  <si>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</si>
  <si>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</si>
  <si>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</si>
  <si>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</si>
  <si>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</si>
  <si>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</si>
  <si>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</si>
  <si>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</si>
  <si>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</si>
  <si>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</si>
  <si>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</si>
  <si>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</si>
  <si>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</si>
  <si>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</si>
  <si>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</si>
  <si>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</si>
  <si>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</si>
  <si>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</si>
  <si>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</si>
  <si>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</si>
  <si>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</si>
  <si>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</si>
  <si>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</si>
  <si>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</si>
  <si>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</si>
  <si>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</si>
  <si>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</si>
  <si>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</si>
  <si>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</si>
  <si>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31.03.2016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</si>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</sst>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8.7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206233.71999999997</v>
      </c>
      <c r="G8" s="15">
        <f aca="true" t="shared" si="0" ref="G8:G21">F8-E8</f>
        <v>5919.53999999995</v>
      </c>
      <c r="H8" s="38">
        <f>F8/E8*100</f>
        <v>102.95512778975504</v>
      </c>
      <c r="I8" s="28">
        <f>F8-D8</f>
        <v>-634816.28</v>
      </c>
      <c r="J8" s="28">
        <f>F8/D8*100</f>
        <v>24.520982105701204</v>
      </c>
      <c r="K8" s="15">
        <f>F8-139482.78</f>
        <v>66750.93999999997</v>
      </c>
      <c r="L8" s="15">
        <f>F8/139482.78*100</f>
        <v>147.8560435919043</v>
      </c>
      <c r="M8" s="15">
        <f>M9+M15+M18+M19+M20+M32+M17</f>
        <v>77601.41</v>
      </c>
      <c r="N8" s="15">
        <f>N9+N15+N18+N19+N20+N32+N17</f>
        <v>65810.69499999998</v>
      </c>
      <c r="O8" s="15">
        <f>N8-M8</f>
        <v>-11790.715000000026</v>
      </c>
      <c r="P8" s="15">
        <f>N8/M8*100</f>
        <v>84.80605571470927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109294.01</v>
      </c>
      <c r="G9" s="36">
        <f t="shared" si="0"/>
        <v>3310.7399999999907</v>
      </c>
      <c r="H9" s="32">
        <f>F9/E9*100</f>
        <v>103.12383265773929</v>
      </c>
      <c r="I9" s="42">
        <f>F9-D9</f>
        <v>-350405.99</v>
      </c>
      <c r="J9" s="42">
        <f>F9/D9*100</f>
        <v>23.775072873613226</v>
      </c>
      <c r="K9" s="106">
        <f>F9-78437.5</f>
        <v>30856.509999999995</v>
      </c>
      <c r="L9" s="106">
        <f>F9/78437.5*100</f>
        <v>139.33897689243025</v>
      </c>
      <c r="M9" s="32">
        <f>E9-лютий!E9</f>
        <v>45393.005000000005</v>
      </c>
      <c r="N9" s="178">
        <f>F9-лютий!F9</f>
        <v>38969.40999999999</v>
      </c>
      <c r="O9" s="40">
        <f>N9-M9</f>
        <v>-6423.595000000016</v>
      </c>
      <c r="P9" s="42">
        <f>N9/M9*100</f>
        <v>85.84893201055974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95530.74</v>
      </c>
      <c r="G10" s="109">
        <f t="shared" si="0"/>
        <v>913.9000000000087</v>
      </c>
      <c r="H10" s="32">
        <f aca="true" t="shared" si="1" ref="H10:H31">F10/E10*100</f>
        <v>100.96589571158792</v>
      </c>
      <c r="I10" s="110">
        <f aca="true" t="shared" si="2" ref="I10:I32">F10-D10</f>
        <v>-315909.26</v>
      </c>
      <c r="J10" s="110">
        <f aca="true" t="shared" si="3" ref="J10:J31">F10/D10*100</f>
        <v>23.218632121329964</v>
      </c>
      <c r="K10" s="112">
        <f>F10-69239.48</f>
        <v>26291.26000000001</v>
      </c>
      <c r="L10" s="112">
        <f>F10/69239.48*100</f>
        <v>137.97148678759578</v>
      </c>
      <c r="M10" s="111">
        <f>E10-лютий!E10</f>
        <v>40243</v>
      </c>
      <c r="N10" s="179">
        <f>F10-лютий!F10</f>
        <v>33316.79000000001</v>
      </c>
      <c r="O10" s="112">
        <f aca="true" t="shared" si="4" ref="O10:O32">N10-M10</f>
        <v>-6926.209999999992</v>
      </c>
      <c r="P10" s="42">
        <f aca="true" t="shared" si="5" ref="P10:P25">N10/M10*100</f>
        <v>82.78903163283059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8054.4</v>
      </c>
      <c r="G11" s="109">
        <f t="shared" si="0"/>
        <v>969.46</v>
      </c>
      <c r="H11" s="32">
        <f t="shared" si="1"/>
        <v>113.68339040274161</v>
      </c>
      <c r="I11" s="110">
        <f t="shared" si="2"/>
        <v>-14945.6</v>
      </c>
      <c r="J11" s="110">
        <f t="shared" si="3"/>
        <v>35.01913043478261</v>
      </c>
      <c r="K11" s="112">
        <f>F11-4902.53</f>
        <v>3151.87</v>
      </c>
      <c r="L11" s="112">
        <f>F11/4902.53*100</f>
        <v>164.29068256594044</v>
      </c>
      <c r="M11" s="111">
        <f>E11-лютий!E11</f>
        <v>3149.9999999999995</v>
      </c>
      <c r="N11" s="179">
        <f>F11-лютий!F11</f>
        <v>2735.24</v>
      </c>
      <c r="O11" s="112">
        <f t="shared" si="4"/>
        <v>-414.75999999999976</v>
      </c>
      <c r="P11" s="42">
        <f t="shared" si="5"/>
        <v>86.83301587301588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2364.85</v>
      </c>
      <c r="G12" s="109">
        <f t="shared" si="0"/>
        <v>1259.24</v>
      </c>
      <c r="H12" s="32">
        <f t="shared" si="1"/>
        <v>213.89549660368488</v>
      </c>
      <c r="I12" s="110">
        <f t="shared" si="2"/>
        <v>-4135.15</v>
      </c>
      <c r="J12" s="110">
        <f t="shared" si="3"/>
        <v>36.38230769230769</v>
      </c>
      <c r="K12" s="112">
        <f>F12-1215.38</f>
        <v>1149.4699999999998</v>
      </c>
      <c r="L12" s="112">
        <f>F12/1215.38*100</f>
        <v>194.5770047228027</v>
      </c>
      <c r="M12" s="111">
        <f>E12-лютий!E12</f>
        <v>479.9999999999999</v>
      </c>
      <c r="N12" s="179">
        <f>F12-лютий!F12</f>
        <v>1542.82</v>
      </c>
      <c r="O12" s="112">
        <f t="shared" si="4"/>
        <v>1062.8200000000002</v>
      </c>
      <c r="P12" s="42">
        <f t="shared" si="5"/>
        <v>321.4208333333334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2408.1</v>
      </c>
      <c r="G13" s="109">
        <f t="shared" si="0"/>
        <v>498.26</v>
      </c>
      <c r="H13" s="32">
        <f t="shared" si="1"/>
        <v>126.08909646881415</v>
      </c>
      <c r="I13" s="110">
        <f t="shared" si="2"/>
        <v>-9991.9</v>
      </c>
      <c r="J13" s="110">
        <f t="shared" si="3"/>
        <v>19.42016129032258</v>
      </c>
      <c r="K13" s="112">
        <f>F13-1220.33</f>
        <v>1187.77</v>
      </c>
      <c r="L13" s="112">
        <f>F13/1220.33*100</f>
        <v>197.33186924848195</v>
      </c>
      <c r="M13" s="111">
        <f>E13-лютий!E13</f>
        <v>880.0049999999999</v>
      </c>
      <c r="N13" s="179">
        <f>F13-лютий!F13</f>
        <v>893.6099999999999</v>
      </c>
      <c r="O13" s="112">
        <f t="shared" si="4"/>
        <v>13.605000000000018</v>
      </c>
      <c r="P13" s="42">
        <f t="shared" si="5"/>
        <v>101.54601394310261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18259.82</v>
      </c>
      <c r="G19" s="36">
        <f t="shared" si="0"/>
        <v>-1800.5800000000017</v>
      </c>
      <c r="H19" s="32">
        <f t="shared" si="1"/>
        <v>91.02420689517656</v>
      </c>
      <c r="I19" s="42">
        <f t="shared" si="2"/>
        <v>-91640.18</v>
      </c>
      <c r="J19" s="42">
        <f t="shared" si="3"/>
        <v>16.61494085532302</v>
      </c>
      <c r="K19" s="185">
        <f>F19-10070.48</f>
        <v>8189.34</v>
      </c>
      <c r="L19" s="185">
        <f>F19/10070.48*100</f>
        <v>181.32025484386048</v>
      </c>
      <c r="M19" s="32">
        <f>E19-лютий!E19</f>
        <v>8000.000000000002</v>
      </c>
      <c r="N19" s="178">
        <f>F19-лютий!F19</f>
        <v>7398.82</v>
      </c>
      <c r="O19" s="40">
        <f t="shared" si="4"/>
        <v>-601.1800000000021</v>
      </c>
      <c r="P19" s="42">
        <f t="shared" si="5"/>
        <v>92.48524999999998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78388.98</v>
      </c>
      <c r="G20" s="36">
        <f t="shared" si="0"/>
        <v>4238.469999999987</v>
      </c>
      <c r="H20" s="32">
        <f t="shared" si="1"/>
        <v>105.71603620797751</v>
      </c>
      <c r="I20" s="42">
        <f t="shared" si="2"/>
        <v>-192551.02000000002</v>
      </c>
      <c r="J20" s="42">
        <f t="shared" si="3"/>
        <v>28.932228537683617</v>
      </c>
      <c r="K20" s="132">
        <f>F20-49978.98</f>
        <v>28409.999999999993</v>
      </c>
      <c r="L20" s="110">
        <f>F20/49978.98*100</f>
        <v>156.84389717437207</v>
      </c>
      <c r="M20" s="32">
        <f>M21+M25+M26+M27</f>
        <v>24098.405</v>
      </c>
      <c r="N20" s="178">
        <f>F20-лютий!F20</f>
        <v>19342.539999999994</v>
      </c>
      <c r="O20" s="40">
        <f t="shared" si="4"/>
        <v>-4755.865000000005</v>
      </c>
      <c r="P20" s="42">
        <f t="shared" si="5"/>
        <v>80.26481420658335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40204.78</v>
      </c>
      <c r="G21" s="36">
        <f t="shared" si="0"/>
        <v>3363.519999999997</v>
      </c>
      <c r="H21" s="32">
        <f t="shared" si="1"/>
        <v>109.1297637485797</v>
      </c>
      <c r="I21" s="42">
        <f t="shared" si="2"/>
        <v>-121195.22</v>
      </c>
      <c r="J21" s="42">
        <f t="shared" si="3"/>
        <v>24.91002478314746</v>
      </c>
      <c r="K21" s="132">
        <f>F21-24610.26</f>
        <v>15594.52</v>
      </c>
      <c r="L21" s="110">
        <f>F21/24610.26*100</f>
        <v>163.36592949444665</v>
      </c>
      <c r="M21" s="32">
        <f>M22+M23+M24</f>
        <v>13345</v>
      </c>
      <c r="N21" s="178">
        <f>F21-лютий!F21</f>
        <v>14720.73</v>
      </c>
      <c r="O21" s="40">
        <f t="shared" si="4"/>
        <v>1375.7299999999996</v>
      </c>
      <c r="P21" s="42">
        <f t="shared" si="5"/>
        <v>110.30895466466842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4189.68</v>
      </c>
      <c r="G22" s="109">
        <f>F22-E22</f>
        <v>658.0800000000004</v>
      </c>
      <c r="H22" s="111">
        <f t="shared" si="1"/>
        <v>118.63404689092765</v>
      </c>
      <c r="I22" s="110">
        <f t="shared" si="2"/>
        <v>-14310.32</v>
      </c>
      <c r="J22" s="110">
        <f t="shared" si="3"/>
        <v>22.64691891891892</v>
      </c>
      <c r="K22" s="174">
        <f>F22-526.28</f>
        <v>3663.4000000000005</v>
      </c>
      <c r="L22" s="174">
        <f>F22/526.28*100</f>
        <v>796.0933343467357</v>
      </c>
      <c r="M22" s="111">
        <f>E22-лютий!E22</f>
        <v>240</v>
      </c>
      <c r="N22" s="179">
        <f>F22-лютий!F22</f>
        <v>636.9100000000003</v>
      </c>
      <c r="O22" s="112">
        <f t="shared" si="4"/>
        <v>396.9100000000003</v>
      </c>
      <c r="P22" s="110">
        <f t="shared" si="5"/>
        <v>265.37916666666683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35701.22</v>
      </c>
      <c r="G24" s="109">
        <f>F24-E24</f>
        <v>2593.4000000000015</v>
      </c>
      <c r="H24" s="111">
        <f t="shared" si="1"/>
        <v>107.83319469539221</v>
      </c>
      <c r="I24" s="110">
        <f t="shared" si="2"/>
        <v>-104398.78</v>
      </c>
      <c r="J24" s="110">
        <f t="shared" si="3"/>
        <v>25.482669521770163</v>
      </c>
      <c r="K24" s="174">
        <f>F24-24046.28</f>
        <v>11654.940000000002</v>
      </c>
      <c r="L24" s="174">
        <f>F24/24046.28*100</f>
        <v>148.4687860242832</v>
      </c>
      <c r="M24" s="111">
        <f>E24-лютий!E24</f>
        <v>13105</v>
      </c>
      <c r="N24" s="179">
        <f>F24-лютий!F24</f>
        <v>13944.150000000001</v>
      </c>
      <c r="O24" s="112">
        <f t="shared" si="4"/>
        <v>839.1500000000015</v>
      </c>
      <c r="P24" s="110">
        <f t="shared" si="5"/>
        <v>106.40328119038536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38240.93</v>
      </c>
      <c r="G27" s="36">
        <f t="shared" si="6"/>
        <v>945.6900000000023</v>
      </c>
      <c r="H27" s="32">
        <f t="shared" si="1"/>
        <v>102.53568551911718</v>
      </c>
      <c r="I27" s="42">
        <f t="shared" si="2"/>
        <v>-71222.07</v>
      </c>
      <c r="J27" s="42">
        <f t="shared" si="3"/>
        <v>34.935028274394085</v>
      </c>
      <c r="K27" s="106">
        <f>F27-25338.21</f>
        <v>12902.720000000001</v>
      </c>
      <c r="L27" s="106">
        <f>F27/25338.21*100</f>
        <v>150.92198699118842</v>
      </c>
      <c r="M27" s="32">
        <f>E27-лютий!E27</f>
        <v>10749.999999999996</v>
      </c>
      <c r="N27" s="178">
        <f>F27-лютий!F27</f>
        <v>4646.419999999998</v>
      </c>
      <c r="O27" s="40">
        <f t="shared" si="4"/>
        <v>-6103.579999999998</v>
      </c>
      <c r="P27" s="42">
        <f>N27/M27*100</f>
        <v>43.222511627906975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9431.06</v>
      </c>
      <c r="G29" s="109">
        <f t="shared" si="6"/>
        <v>95.09000000000015</v>
      </c>
      <c r="H29" s="111">
        <f t="shared" si="1"/>
        <v>101.0185336928032</v>
      </c>
      <c r="I29" s="110">
        <f t="shared" si="2"/>
        <v>-18168.940000000002</v>
      </c>
      <c r="J29" s="110">
        <f t="shared" si="3"/>
        <v>34.17050724637681</v>
      </c>
      <c r="K29" s="142">
        <f>F29-6631.29</f>
        <v>2799.7699999999995</v>
      </c>
      <c r="L29" s="142">
        <f>F29/6631.29*100</f>
        <v>142.22059357983136</v>
      </c>
      <c r="M29" s="111">
        <f>E29-лютий!E29</f>
        <v>3679.999999999999</v>
      </c>
      <c r="N29" s="179">
        <f>F29-лютий!F29</f>
        <v>751.789999999999</v>
      </c>
      <c r="O29" s="112">
        <f t="shared" si="4"/>
        <v>-2928.21</v>
      </c>
      <c r="P29" s="110">
        <f>N29/M29*100</f>
        <v>20.429076086956503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28565.75</v>
      </c>
      <c r="G30" s="109">
        <f t="shared" si="6"/>
        <v>629.6699999999983</v>
      </c>
      <c r="H30" s="111">
        <f t="shared" si="1"/>
        <v>102.25396691303861</v>
      </c>
      <c r="I30" s="110">
        <f t="shared" si="2"/>
        <v>-53246.25</v>
      </c>
      <c r="J30" s="110">
        <f t="shared" si="3"/>
        <v>34.916332567349535</v>
      </c>
      <c r="K30" s="142">
        <f>F30-18703.62</f>
        <v>9862.130000000001</v>
      </c>
      <c r="L30" s="142">
        <f>F30/18603.62*100</f>
        <v>153.54941672642207</v>
      </c>
      <c r="M30" s="111">
        <f>E30-лютий!E30</f>
        <v>7050</v>
      </c>
      <c r="N30" s="179">
        <f>F30-лютий!F30</f>
        <v>3658.0800000000017</v>
      </c>
      <c r="O30" s="112">
        <f t="shared" si="4"/>
        <v>-3391.9199999999983</v>
      </c>
      <c r="P30" s="110">
        <f>N30/M30*100</f>
        <v>51.88765957446812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10559.339999999998</v>
      </c>
      <c r="G33" s="15">
        <f>G34+G35+G36+G37+G38+G39+G41+G42+G43+G44+G45+G50+G51+G55</f>
        <v>49.32900000000008</v>
      </c>
      <c r="H33" s="38">
        <f>F33/E33*100</f>
        <v>100.46916131836336</v>
      </c>
      <c r="I33" s="28">
        <f>F33-D33</f>
        <v>-32260.660000000003</v>
      </c>
      <c r="J33" s="28">
        <f>F33/D33*100</f>
        <v>24.6598318542737</v>
      </c>
      <c r="K33" s="15">
        <f>F33-7649.28</f>
        <v>2910.0599999999986</v>
      </c>
      <c r="L33" s="15">
        <f>F33/7649.28*100</f>
        <v>138.04358057228913</v>
      </c>
      <c r="M33" s="15">
        <f>M34+M35+M36+M37+M38+M39+M41+M42+M43+M44+M45+M50+M51+M55</f>
        <v>5575.005</v>
      </c>
      <c r="N33" s="15">
        <f>N34+N35+N36+N37+N38+N39+N41+N42+N43+N44+N45+N50+N51+N55</f>
        <v>5642.9</v>
      </c>
      <c r="O33" s="15">
        <f>O34+O35+O36+O37+O38+O39+O41+O42+O43+O44+O45+O50+O51+O55</f>
        <v>67.89500000000045</v>
      </c>
      <c r="P33" s="15">
        <f>N33/M33*100</f>
        <v>101.2178464413933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18.06</v>
      </c>
      <c r="G38" s="36">
        <f t="shared" si="9"/>
        <v>-11.940000000000001</v>
      </c>
      <c r="H38" s="32">
        <f t="shared" si="7"/>
        <v>60.199999999999996</v>
      </c>
      <c r="I38" s="42">
        <f t="shared" si="10"/>
        <v>-131.94</v>
      </c>
      <c r="J38" s="42">
        <f t="shared" si="12"/>
        <v>12.04</v>
      </c>
      <c r="K38" s="42">
        <f>F38-30.76</f>
        <v>-12.700000000000003</v>
      </c>
      <c r="L38" s="42">
        <f>F38/30.76*100</f>
        <v>58.712613784135236</v>
      </c>
      <c r="M38" s="32">
        <f>E38-лютий!E38</f>
        <v>10</v>
      </c>
      <c r="N38" s="178">
        <f>F38-лютий!F38</f>
        <v>14.409999999999998</v>
      </c>
      <c r="O38" s="40">
        <f t="shared" si="11"/>
        <v>4.409999999999998</v>
      </c>
      <c r="P38" s="42">
        <f t="shared" si="8"/>
        <v>144.1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2269.98</v>
      </c>
      <c r="G41" s="36">
        <f t="shared" si="9"/>
        <v>130.96000000000004</v>
      </c>
      <c r="H41" s="32">
        <f t="shared" si="7"/>
        <v>106.12242989780367</v>
      </c>
      <c r="I41" s="42">
        <f t="shared" si="10"/>
        <v>-7630.02</v>
      </c>
      <c r="J41" s="42">
        <f t="shared" si="12"/>
        <v>22.92909090909091</v>
      </c>
      <c r="K41" s="42">
        <f>F41-2528.58</f>
        <v>-258.5999999999999</v>
      </c>
      <c r="L41" s="42">
        <f>F41/2528.58*100</f>
        <v>89.77291602401348</v>
      </c>
      <c r="M41" s="32">
        <f>E41-лютий!E41</f>
        <v>800.0049999999999</v>
      </c>
      <c r="N41" s="178">
        <f>F41-лютий!F41</f>
        <v>918.81</v>
      </c>
      <c r="O41" s="40">
        <f t="shared" si="11"/>
        <v>118.80500000000006</v>
      </c>
      <c r="P41" s="42">
        <f t="shared" si="8"/>
        <v>114.85053218417384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1474.29</v>
      </c>
      <c r="G45" s="36">
        <f t="shared" si="9"/>
        <v>101.09999999999991</v>
      </c>
      <c r="H45" s="32">
        <f t="shared" si="7"/>
        <v>107.362418893234</v>
      </c>
      <c r="I45" s="42">
        <f t="shared" si="10"/>
        <v>-5825.71</v>
      </c>
      <c r="J45" s="42">
        <f t="shared" si="12"/>
        <v>20.195753424657532</v>
      </c>
      <c r="K45" s="132">
        <f>F45-2181.98</f>
        <v>-707.69</v>
      </c>
      <c r="L45" s="132">
        <f>F45/2181.98*100</f>
        <v>67.5666138094758</v>
      </c>
      <c r="M45" s="32">
        <f>E45-лютий!E45</f>
        <v>477</v>
      </c>
      <c r="N45" s="178">
        <f>F45-лютий!F45</f>
        <v>509.13</v>
      </c>
      <c r="O45" s="40">
        <f t="shared" si="11"/>
        <v>32.129999999999995</v>
      </c>
      <c r="P45" s="132">
        <f t="shared" si="8"/>
        <v>106.73584905660378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161.58</v>
      </c>
      <c r="G46" s="36">
        <f t="shared" si="9"/>
        <v>-27.409999999999997</v>
      </c>
      <c r="H46" s="32">
        <f t="shared" si="7"/>
        <v>85.49658712101169</v>
      </c>
      <c r="I46" s="110">
        <f t="shared" si="10"/>
        <v>-938.42</v>
      </c>
      <c r="J46" s="42">
        <f t="shared" si="12"/>
        <v>14.68909090909091</v>
      </c>
      <c r="K46" s="110">
        <f>F46-216.18</f>
        <v>-54.599999999999994</v>
      </c>
      <c r="L46" s="110">
        <f>F46/216.18*100</f>
        <v>74.74326949764087</v>
      </c>
      <c r="M46" s="32">
        <f>E46-лютий!E46</f>
        <v>76.00000000000001</v>
      </c>
      <c r="N46" s="178">
        <f>F46-лютий!F46</f>
        <v>76.15</v>
      </c>
      <c r="O46" s="112">
        <f t="shared" si="11"/>
        <v>0.14999999999999147</v>
      </c>
      <c r="P46" s="132">
        <f t="shared" si="8"/>
        <v>100.19736842105263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1312.59</v>
      </c>
      <c r="G49" s="36">
        <f t="shared" si="9"/>
        <v>130.41999999999985</v>
      </c>
      <c r="H49" s="32">
        <f t="shared" si="7"/>
        <v>111.0322542443134</v>
      </c>
      <c r="I49" s="110">
        <f t="shared" si="10"/>
        <v>-4841.41</v>
      </c>
      <c r="J49" s="42">
        <f t="shared" si="12"/>
        <v>21.32905427364316</v>
      </c>
      <c r="K49" s="110">
        <f>F49-1921.57</f>
        <v>-608.98</v>
      </c>
      <c r="L49" s="110">
        <f>F49/1921.57*100</f>
        <v>68.30820631046488</v>
      </c>
      <c r="M49" s="32">
        <f>E49-лютий!E49</f>
        <v>400.0000000000001</v>
      </c>
      <c r="N49" s="178">
        <f>F49-лютий!F49</f>
        <v>433.93999999999994</v>
      </c>
      <c r="O49" s="112">
        <f t="shared" si="11"/>
        <v>33.93999999999983</v>
      </c>
      <c r="P49" s="132">
        <f t="shared" si="8"/>
        <v>108.48499999999997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1099.66</v>
      </c>
      <c r="G51" s="36">
        <f t="shared" si="9"/>
        <v>91.68000000000006</v>
      </c>
      <c r="H51" s="32">
        <f t="shared" si="7"/>
        <v>109.09541855989207</v>
      </c>
      <c r="I51" s="42">
        <f t="shared" si="10"/>
        <v>-3700.34</v>
      </c>
      <c r="J51" s="42">
        <f t="shared" si="12"/>
        <v>22.909583333333337</v>
      </c>
      <c r="K51" s="42">
        <f>F51-960.47</f>
        <v>139.19000000000005</v>
      </c>
      <c r="L51" s="42">
        <f>F51/960.47*100</f>
        <v>114.49186335856405</v>
      </c>
      <c r="M51" s="32">
        <f>E51-лютий!E51</f>
        <v>370</v>
      </c>
      <c r="N51" s="178">
        <f>F51-лютий!F51</f>
        <v>377.0000000000001</v>
      </c>
      <c r="O51" s="40">
        <f t="shared" si="11"/>
        <v>7.000000000000114</v>
      </c>
      <c r="P51" s="42">
        <f t="shared" si="8"/>
        <v>101.89189189189192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228.8</v>
      </c>
      <c r="G53" s="36"/>
      <c r="H53" s="32"/>
      <c r="I53" s="42"/>
      <c r="J53" s="42"/>
      <c r="K53" s="112">
        <f>F53-239.6</f>
        <v>-10.799999999999983</v>
      </c>
      <c r="L53" s="112">
        <f>F53/239.6*100</f>
        <v>95.4924874791319</v>
      </c>
      <c r="M53" s="111"/>
      <c r="N53" s="179">
        <f>F53-лютий!F53</f>
        <v>81.5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216798.85999999996</v>
      </c>
      <c r="G58" s="37">
        <f>F58-E58</f>
        <v>5969.348999999958</v>
      </c>
      <c r="H58" s="38">
        <f>F58/E58*100</f>
        <v>102.83136311026209</v>
      </c>
      <c r="I58" s="28">
        <f>F58-D58</f>
        <v>-667101.74</v>
      </c>
      <c r="J58" s="28">
        <f>F58/D58*100</f>
        <v>24.527515876785237</v>
      </c>
      <c r="K58" s="28">
        <f>F58-147138.18</f>
        <v>69660.67999999996</v>
      </c>
      <c r="L58" s="28">
        <f>F58/147138.18*100</f>
        <v>147.34371459535518</v>
      </c>
      <c r="M58" s="15">
        <f>M8+M33+M56+M57</f>
        <v>83178.71500000001</v>
      </c>
      <c r="N58" s="15">
        <f>N8+N33+N56+N57</f>
        <v>71455.59499999997</v>
      </c>
      <c r="O58" s="41">
        <f>N58-M58</f>
        <v>-11723.120000000039</v>
      </c>
      <c r="P58" s="28">
        <f>N58/M58*100</f>
        <v>85.90610590702195</v>
      </c>
      <c r="Q58" s="28">
        <f>N58-34768</f>
        <v>36687.59499999997</v>
      </c>
      <c r="R58" s="128">
        <f>N58/34768</f>
        <v>2.0552115450989406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7809.04</v>
      </c>
      <c r="G69" s="36">
        <f t="shared" si="13"/>
        <v>6922.19</v>
      </c>
      <c r="H69" s="32">
        <f>F69/E69*100</f>
        <v>880.5367311270226</v>
      </c>
      <c r="I69" s="43">
        <f t="shared" si="14"/>
        <v>1809.04</v>
      </c>
      <c r="J69" s="43">
        <f>F69/D69*100</f>
        <v>130.15066666666667</v>
      </c>
      <c r="K69" s="43">
        <f>F69-11.06</f>
        <v>7797.98</v>
      </c>
      <c r="L69" s="43">
        <f>F69/11.06*100</f>
        <v>70606.14828209765</v>
      </c>
      <c r="M69" s="32">
        <f>E69-лютий!E69</f>
        <v>302</v>
      </c>
      <c r="N69" s="178">
        <f>F69-лютий!F69</f>
        <v>7162.2</v>
      </c>
      <c r="O69" s="40">
        <f t="shared" si="15"/>
        <v>6860.2</v>
      </c>
      <c r="P69" s="43">
        <f>N69/M69*100</f>
        <v>2371.58940397351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8130.83</v>
      </c>
      <c r="G71" s="45">
        <f t="shared" si="13"/>
        <v>5777.57</v>
      </c>
      <c r="H71" s="52">
        <f>F71/E71*100</f>
        <v>345.51345792645094</v>
      </c>
      <c r="I71" s="44">
        <f t="shared" si="14"/>
        <v>-9540.17</v>
      </c>
      <c r="J71" s="44">
        <f>F71/D71*100</f>
        <v>46.01228000679078</v>
      </c>
      <c r="K71" s="44">
        <f>F71-1454.31</f>
        <v>6676.52</v>
      </c>
      <c r="L71" s="44">
        <f>F71/1454.31*100</f>
        <v>559.0850643947989</v>
      </c>
      <c r="M71" s="45">
        <f>M67+M68+M69+M70</f>
        <v>634.01</v>
      </c>
      <c r="N71" s="183">
        <f>N67+N68+N69+N70</f>
        <v>7105.219999999999</v>
      </c>
      <c r="O71" s="44">
        <f t="shared" si="15"/>
        <v>6471.209999999999</v>
      </c>
      <c r="P71" s="44">
        <f>N71/M71*100</f>
        <v>1120.6794845507168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2018.68</v>
      </c>
      <c r="G74" s="36">
        <f t="shared" si="13"/>
        <v>12.980000000000018</v>
      </c>
      <c r="H74" s="32">
        <f>F74/E74*100</f>
        <v>100.64715560652142</v>
      </c>
      <c r="I74" s="43">
        <f t="shared" si="14"/>
        <v>-7481.32</v>
      </c>
      <c r="J74" s="40">
        <f>F74/D74*100</f>
        <v>21.249263157894738</v>
      </c>
      <c r="K74" s="40">
        <f>F74-0</f>
        <v>2018.68</v>
      </c>
      <c r="L74" s="43"/>
      <c r="M74" s="32">
        <f>E74-лютий!E74</f>
        <v>0.7999999999999545</v>
      </c>
      <c r="N74" s="178">
        <f>F74-лютий!F74</f>
        <v>5.019999999999982</v>
      </c>
      <c r="O74" s="40">
        <f>N74-M74</f>
        <v>4.220000000000027</v>
      </c>
      <c r="P74" s="46">
        <f>N74/M74*100</f>
        <v>627.5000000000334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2019.52</v>
      </c>
      <c r="G76" s="30">
        <f>G72+G75+G73+G74</f>
        <v>13.820000000000018</v>
      </c>
      <c r="H76" s="52">
        <f>F76/E76*100</f>
        <v>100.68903624669692</v>
      </c>
      <c r="I76" s="44">
        <f t="shared" si="14"/>
        <v>-7481.48</v>
      </c>
      <c r="J76" s="44">
        <f>F76/D76*100</f>
        <v>21.255867803389116</v>
      </c>
      <c r="K76" s="44">
        <f>F76-0.58</f>
        <v>2018.94</v>
      </c>
      <c r="L76" s="44">
        <f>F76/0.58*100</f>
        <v>348193.1034482759</v>
      </c>
      <c r="M76" s="45">
        <f>M72+M75+M73+M74</f>
        <v>0.7999999999999545</v>
      </c>
      <c r="N76" s="183">
        <f>N72+N75+N73+N74</f>
        <v>5.689999999999982</v>
      </c>
      <c r="O76" s="45">
        <f>O72+O75+O73+O74</f>
        <v>4.890000000000027</v>
      </c>
      <c r="P76" s="44">
        <f>N76/M76*100</f>
        <v>711.2500000000382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10159.27</v>
      </c>
      <c r="G79" s="37">
        <f>F79-E79</f>
        <v>5787.6</v>
      </c>
      <c r="H79" s="38">
        <f>F79/E79*100</f>
        <v>232.38876676418855</v>
      </c>
      <c r="I79" s="28">
        <f>F79-D79</f>
        <v>-17055.73</v>
      </c>
      <c r="J79" s="28">
        <f>F79/D79*100</f>
        <v>37.329671137240496</v>
      </c>
      <c r="K79" s="28">
        <f>F79-1453.19</f>
        <v>8706.08</v>
      </c>
      <c r="L79" s="28">
        <f>F79/1453.19*100</f>
        <v>699.1012875123006</v>
      </c>
      <c r="M79" s="24">
        <f>M65+M77+M71+M76</f>
        <v>646.8</v>
      </c>
      <c r="N79" s="165">
        <f>N65+N77+N71+N76+N78</f>
        <v>7119.409999999999</v>
      </c>
      <c r="O79" s="28">
        <f t="shared" si="15"/>
        <v>6472.609999999999</v>
      </c>
      <c r="P79" s="28">
        <f>N79/M79*100</f>
        <v>1100.712739641311</v>
      </c>
      <c r="Q79" s="28">
        <f>N79-8104.96</f>
        <v>-985.5500000000011</v>
      </c>
      <c r="R79" s="101">
        <f>N79/8104.96</f>
        <v>0.8784016207359443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226958.12999999995</v>
      </c>
      <c r="G80" s="37">
        <f>F80-E80</f>
        <v>11756.948999999935</v>
      </c>
      <c r="H80" s="38">
        <f>F80/E80*100</f>
        <v>105.46323628214658</v>
      </c>
      <c r="I80" s="28">
        <f>F80-D80</f>
        <v>-684157.47</v>
      </c>
      <c r="J80" s="28">
        <f>F80/D80*100</f>
        <v>24.909915931633698</v>
      </c>
      <c r="K80" s="28">
        <f>K58+K79</f>
        <v>78366.75999999997</v>
      </c>
      <c r="L80" s="28">
        <f>F80/139550.7*100</f>
        <v>162.63489183501045</v>
      </c>
      <c r="M80" s="15">
        <f>M58+M79</f>
        <v>83825.51500000001</v>
      </c>
      <c r="N80" s="15">
        <f>N58+N79</f>
        <v>78575.00499999998</v>
      </c>
      <c r="O80" s="28">
        <f t="shared" si="15"/>
        <v>-5250.510000000038</v>
      </c>
      <c r="P80" s="28">
        <f>N80/M80*100</f>
        <v>93.73638205503416</v>
      </c>
      <c r="Q80" s="28">
        <f>N80-42872.96</f>
        <v>35702.04499999998</v>
      </c>
      <c r="R80" s="101">
        <f>N80/42872.96</f>
        <v>1.8327403799504391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11723.120000000039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42459</v>
      </c>
      <c r="D84" s="31">
        <v>7576.3</v>
      </c>
      <c r="G84" s="4" t="s">
        <v>59</v>
      </c>
      <c r="N84" s="213"/>
      <c r="O84" s="213"/>
    </row>
    <row r="85" spans="3:15" ht="15">
      <c r="C85" s="87">
        <v>42458</v>
      </c>
      <c r="D85" s="31">
        <v>9190.1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42457</v>
      </c>
      <c r="D86" s="31">
        <v>5100.4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39.90565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2016-03-31T07:45:33Z</cp:lastPrinted>
  <dcterms:created xsi:type="dcterms:W3CDTF">2003-07-28T11:27:56Z</dcterms:created>
  <dcterms:modified xsi:type="dcterms:W3CDTF">2016-03-31T08:20:24Z</dcterms:modified>
  <cp:category/>
  <cp:version/>
  <cp:contentType/>
  <cp:contentStatus/>
</cp:coreProperties>
</file>